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19220" windowHeight="175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8" i="1"/>
  <c r="H38" i="1"/>
  <c r="I38" i="1"/>
  <c r="H37" i="1"/>
  <c r="I37" i="1"/>
  <c r="H39" i="1"/>
  <c r="I39" i="1"/>
  <c r="H40" i="1"/>
  <c r="I40" i="1"/>
  <c r="H41" i="1"/>
  <c r="I41" i="1"/>
  <c r="H42" i="1"/>
  <c r="I42" i="1"/>
  <c r="H43" i="1"/>
  <c r="I43" i="1"/>
  <c r="I48" i="1"/>
  <c r="I44" i="1"/>
  <c r="I45" i="1"/>
  <c r="I46" i="1"/>
  <c r="H5" i="1"/>
  <c r="I5" i="1"/>
  <c r="H6" i="1"/>
  <c r="I6" i="1"/>
  <c r="I7" i="1"/>
  <c r="H8" i="1"/>
  <c r="I8" i="1"/>
  <c r="I9" i="1"/>
  <c r="H10" i="1"/>
  <c r="I10" i="1"/>
  <c r="H11" i="1"/>
  <c r="I11" i="1"/>
  <c r="H12" i="1"/>
  <c r="I12" i="1"/>
  <c r="H13" i="1"/>
  <c r="I13" i="1"/>
  <c r="H14" i="1"/>
  <c r="I14" i="1"/>
  <c r="I17" i="1"/>
  <c r="H19" i="1"/>
  <c r="I19" i="1"/>
  <c r="H20" i="1"/>
  <c r="I20" i="1"/>
  <c r="H21" i="1"/>
  <c r="I21" i="1"/>
  <c r="I22" i="1"/>
  <c r="I23" i="1"/>
  <c r="H24" i="1"/>
  <c r="I24" i="1"/>
  <c r="H25" i="1"/>
  <c r="I25" i="1"/>
  <c r="I26" i="1"/>
  <c r="I27" i="1"/>
  <c r="H28" i="1"/>
  <c r="I28" i="1"/>
  <c r="H29" i="1"/>
  <c r="I29" i="1"/>
  <c r="H30" i="1"/>
  <c r="I30" i="1"/>
  <c r="H31" i="1"/>
  <c r="I31" i="1"/>
  <c r="H32" i="1"/>
  <c r="I32" i="1"/>
  <c r="H4" i="1"/>
  <c r="I4" i="1"/>
  <c r="H15" i="1"/>
  <c r="I15" i="1"/>
  <c r="H16" i="1"/>
  <c r="I16" i="1"/>
  <c r="H18" i="1"/>
  <c r="I18" i="1"/>
  <c r="I34" i="1"/>
  <c r="H17" i="1"/>
  <c r="H46" i="1"/>
  <c r="H45" i="1"/>
  <c r="H44" i="1"/>
  <c r="H23" i="1"/>
  <c r="H22" i="1"/>
  <c r="H9" i="1"/>
  <c r="H7" i="1"/>
  <c r="D48" i="1"/>
  <c r="J51" i="1"/>
  <c r="J67" i="1"/>
  <c r="J58" i="1"/>
  <c r="J70" i="1"/>
  <c r="D34" i="1"/>
</calcChain>
</file>

<file path=xl/sharedStrings.xml><?xml version="1.0" encoding="utf-8"?>
<sst xmlns="http://schemas.openxmlformats.org/spreadsheetml/2006/main" count="83" uniqueCount="73">
  <si>
    <t>Objectif</t>
  </si>
  <si>
    <t>Intermédiaire</t>
  </si>
  <si>
    <t>Cible</t>
  </si>
  <si>
    <t>Points</t>
  </si>
  <si>
    <t>DNID avec FO</t>
  </si>
  <si>
    <t>Patients &gt; 65 ans vaccinés / grippe</t>
  </si>
  <si>
    <t>Patients 16-64 ans en ALD vaccinés / grippe</t>
  </si>
  <si>
    <t>Mammographies 50-74 ans</t>
  </si>
  <si>
    <t xml:space="preserve">BZD &gt;12 semaines </t>
  </si>
  <si>
    <t>Frottis 25-65 ans</t>
  </si>
  <si>
    <t>ATB 16-65 ans hors ALD</t>
  </si>
  <si>
    <t>Génériques Statines</t>
  </si>
  <si>
    <t>Génériques Anti-HTA</t>
  </si>
  <si>
    <t>Aspirine / Anti-agrégants plaquettaires</t>
  </si>
  <si>
    <t>2 HbA1c dans l'année</t>
  </si>
  <si>
    <t>DNID avec µ-albuminurie et DFG</t>
  </si>
  <si>
    <t>DNID avec examen des pieds</t>
  </si>
  <si>
    <t>Risque CV AVANT statine</t>
  </si>
  <si>
    <t>Patients AVK avec au moins 10 INR</t>
  </si>
  <si>
    <t>Dépistage Cancer colorectal</t>
  </si>
  <si>
    <t>&gt;75 sans ALD psy avec &gt; 2 psychotropes</t>
  </si>
  <si>
    <t>Hypnotique &gt; 4 semaines</t>
  </si>
  <si>
    <t>Tabagiques avec intervention brève HAS</t>
  </si>
  <si>
    <t>Alcooliques avec intervention brève HAS</t>
  </si>
  <si>
    <t>Génériques Incontinence urinaire</t>
  </si>
  <si>
    <t>Génériques Asthme</t>
  </si>
  <si>
    <t>Génériques dans le reste du répertoire</t>
  </si>
  <si>
    <t>Biosimilaires insuline glargine</t>
  </si>
  <si>
    <t>DNID traités par metformine</t>
  </si>
  <si>
    <t>TOTAL</t>
  </si>
  <si>
    <t>TSH seule / TSH + T4</t>
  </si>
  <si>
    <t>% artéritiques avec statine + AAP + IEC ou ARA2</t>
  </si>
  <si>
    <t>Patients HTA avec protéinurie et DFG</t>
  </si>
  <si>
    <t>Part d'Augmentin et de C3G</t>
  </si>
  <si>
    <t>Gain</t>
  </si>
  <si>
    <t>Asthme traité par CI ou ALT</t>
  </si>
  <si>
    <t>IMC</t>
  </si>
  <si>
    <t>Dépistage trouble du langage &lt; 4 ans</t>
  </si>
  <si>
    <t>Dépistage troubles visuels &lt; 1 an</t>
  </si>
  <si>
    <t>Forfait structure</t>
  </si>
  <si>
    <t>Horaires</t>
  </si>
  <si>
    <t>67%  FSE</t>
  </si>
  <si>
    <t>DMP</t>
  </si>
  <si>
    <t>MS Santé</t>
  </si>
  <si>
    <t>LAP</t>
  </si>
  <si>
    <t xml:space="preserve">       Téléservices</t>
  </si>
  <si>
    <t>PSE</t>
  </si>
  <si>
    <t>AT</t>
  </si>
  <si>
    <t>ATMP</t>
  </si>
  <si>
    <t>Moy. nationale</t>
  </si>
  <si>
    <t xml:space="preserve">Moy. nationale </t>
  </si>
  <si>
    <t>Total ROSP</t>
  </si>
  <si>
    <t xml:space="preserve">      Codage</t>
  </si>
  <si>
    <t xml:space="preserve">      Secrétariat</t>
  </si>
  <si>
    <t>2ème niveau : variable</t>
  </si>
  <si>
    <t xml:space="preserve">        Socle (1er niveau fixe)</t>
  </si>
  <si>
    <t xml:space="preserve">      MSU</t>
  </si>
  <si>
    <t>Total ROSP pédiatrique</t>
  </si>
  <si>
    <t>T4 2018</t>
  </si>
  <si>
    <t>Neutralisé</t>
  </si>
  <si>
    <t>DMT</t>
  </si>
  <si>
    <t>T4 2017</t>
  </si>
  <si>
    <t>Patientèle adulte</t>
  </si>
  <si>
    <t>Patientèle enfants</t>
  </si>
  <si>
    <t>Oui</t>
  </si>
  <si>
    <t>????</t>
  </si>
  <si>
    <t>Examen bucco-dentaire annuel</t>
  </si>
  <si>
    <t>Asthme avec EFR annuel</t>
  </si>
  <si>
    <t>2 ROR chez les &lt; 2ans</t>
  </si>
  <si>
    <t>Méningo chez les &lt;18 mois</t>
  </si>
  <si>
    <t>% C3-C4 chez les &gt; 4 ans</t>
  </si>
  <si>
    <t>% C3-C4 chez les &lt; 4 ans</t>
  </si>
  <si>
    <t xml:space="preserve">      CPTS ou 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</si>
</sst>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0.0%"/>
    <numFmt numFmtId="168" formatCode="0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  <font>
      <sz val="12"/>
      <color rgb="FF3366FF"/>
      <name val="Calibri"/>
      <scheme val="minor"/>
    </font>
    <font>
      <sz val="12"/>
      <color rgb="FF0000FF"/>
      <name val="Calibri"/>
      <scheme val="minor"/>
    </font>
    <font>
      <i/>
      <sz val="12"/>
      <color theme="1"/>
      <name val="Calibri"/>
      <scheme val="minor"/>
    </font>
    <font>
      <i/>
      <sz val="12"/>
      <name val="Calibri"/>
      <scheme val="minor"/>
    </font>
    <font>
      <sz val="12"/>
      <color rgb="FFFF66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164" fontId="5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4" fontId="7" fillId="0" borderId="0" xfId="1" applyFont="1"/>
    <xf numFmtId="0" fontId="6" fillId="0" borderId="0" xfId="0" applyFont="1"/>
    <xf numFmtId="164" fontId="8" fillId="0" borderId="0" xfId="1" applyFont="1"/>
    <xf numFmtId="0" fontId="8" fillId="0" borderId="0" xfId="0" applyFont="1"/>
    <xf numFmtId="165" fontId="0" fillId="0" borderId="0" xfId="34" applyFont="1" applyAlignment="1">
      <alignment horizontal="center"/>
    </xf>
    <xf numFmtId="165" fontId="0" fillId="0" borderId="0" xfId="34" applyFont="1"/>
    <xf numFmtId="165" fontId="5" fillId="0" borderId="0" xfId="34" applyFont="1"/>
    <xf numFmtId="165" fontId="6" fillId="0" borderId="0" xfId="34" applyFont="1"/>
    <xf numFmtId="0" fontId="10" fillId="0" borderId="0" xfId="0" applyFont="1"/>
    <xf numFmtId="0" fontId="11" fillId="0" borderId="0" xfId="0" applyFont="1"/>
    <xf numFmtId="165" fontId="10" fillId="0" borderId="0" xfId="34" applyFont="1"/>
    <xf numFmtId="165" fontId="8" fillId="0" borderId="0" xfId="34" applyFont="1"/>
    <xf numFmtId="164" fontId="10" fillId="0" borderId="0" xfId="1" applyFont="1"/>
    <xf numFmtId="164" fontId="8" fillId="0" borderId="0" xfId="0" applyNumberFormat="1" applyFont="1"/>
    <xf numFmtId="164" fontId="6" fillId="0" borderId="0" xfId="0" applyNumberFormat="1" applyFont="1"/>
    <xf numFmtId="9" fontId="0" fillId="0" borderId="0" xfId="35" applyFont="1" applyAlignment="1">
      <alignment horizontal="right"/>
    </xf>
    <xf numFmtId="9" fontId="0" fillId="0" borderId="0" xfId="35" applyFont="1" applyAlignment="1">
      <alignment horizontal="center"/>
    </xf>
    <xf numFmtId="9" fontId="7" fillId="0" borderId="0" xfId="35" applyFont="1" applyAlignment="1">
      <alignment horizontal="right"/>
    </xf>
    <xf numFmtId="9" fontId="10" fillId="0" borderId="0" xfId="35" applyFont="1" applyAlignment="1">
      <alignment horizontal="right"/>
    </xf>
    <xf numFmtId="9" fontId="11" fillId="0" borderId="0" xfId="35" applyFont="1" applyAlignment="1">
      <alignment horizontal="right"/>
    </xf>
    <xf numFmtId="9" fontId="5" fillId="0" borderId="0" xfId="35" applyFont="1" applyAlignment="1">
      <alignment horizontal="right"/>
    </xf>
    <xf numFmtId="9" fontId="6" fillId="0" borderId="0" xfId="35" applyFont="1" applyAlignment="1">
      <alignment horizontal="right"/>
    </xf>
    <xf numFmtId="9" fontId="8" fillId="0" borderId="0" xfId="35" applyFont="1" applyAlignment="1">
      <alignment horizontal="right"/>
    </xf>
    <xf numFmtId="167" fontId="0" fillId="0" borderId="0" xfId="35" applyNumberFormat="1" applyFont="1" applyAlignment="1">
      <alignment horizontal="center"/>
    </xf>
    <xf numFmtId="167" fontId="7" fillId="0" borderId="0" xfId="35" applyNumberFormat="1" applyFont="1"/>
    <xf numFmtId="167" fontId="10" fillId="0" borderId="0" xfId="35" applyNumberFormat="1" applyFont="1"/>
    <xf numFmtId="167" fontId="11" fillId="0" borderId="0" xfId="35" applyNumberFormat="1" applyFont="1"/>
    <xf numFmtId="167" fontId="5" fillId="0" borderId="0" xfId="35" applyNumberFormat="1" applyFont="1"/>
    <xf numFmtId="167" fontId="6" fillId="0" borderId="0" xfId="35" applyNumberFormat="1" applyFont="1"/>
    <xf numFmtId="167" fontId="0" fillId="0" borderId="0" xfId="35" applyNumberFormat="1" applyFont="1"/>
    <xf numFmtId="167" fontId="8" fillId="0" borderId="0" xfId="35" applyNumberFormat="1" applyFont="1"/>
    <xf numFmtId="0" fontId="12" fillId="0" borderId="0" xfId="0" applyFont="1"/>
    <xf numFmtId="9" fontId="12" fillId="0" borderId="0" xfId="35" applyFont="1" applyAlignment="1">
      <alignment horizontal="right"/>
    </xf>
    <xf numFmtId="0" fontId="13" fillId="0" borderId="0" xfId="0" applyFont="1"/>
    <xf numFmtId="167" fontId="12" fillId="0" borderId="0" xfId="35" applyNumberFormat="1" applyFont="1"/>
    <xf numFmtId="165" fontId="12" fillId="0" borderId="0" xfId="34" applyFont="1"/>
    <xf numFmtId="164" fontId="13" fillId="0" borderId="0" xfId="1" applyFont="1"/>
    <xf numFmtId="168" fontId="0" fillId="0" borderId="0" xfId="35" applyNumberFormat="1" applyFont="1"/>
    <xf numFmtId="0" fontId="7" fillId="0" borderId="0" xfId="0" applyFont="1" applyFill="1"/>
    <xf numFmtId="9" fontId="7" fillId="0" borderId="0" xfId="35" applyFont="1" applyFill="1" applyAlignment="1">
      <alignment horizontal="right"/>
    </xf>
    <xf numFmtId="167" fontId="7" fillId="0" borderId="0" xfId="35" applyNumberFormat="1" applyFont="1" applyFill="1"/>
    <xf numFmtId="165" fontId="7" fillId="0" borderId="0" xfId="34" applyFont="1" applyFill="1"/>
    <xf numFmtId="164" fontId="7" fillId="0" borderId="0" xfId="1" applyFont="1" applyFill="1"/>
    <xf numFmtId="165" fontId="10" fillId="0" borderId="0" xfId="34" applyFont="1" applyFill="1"/>
    <xf numFmtId="166" fontId="10" fillId="0" borderId="0" xfId="0" applyNumberFormat="1" applyFont="1"/>
    <xf numFmtId="0" fontId="14" fillId="0" borderId="0" xfId="0" applyFont="1"/>
    <xf numFmtId="9" fontId="14" fillId="0" borderId="0" xfId="35" applyFont="1" applyAlignment="1">
      <alignment horizontal="right"/>
    </xf>
    <xf numFmtId="167" fontId="14" fillId="0" borderId="0" xfId="35" applyNumberFormat="1" applyFont="1"/>
    <xf numFmtId="165" fontId="14" fillId="0" borderId="0" xfId="34" applyFont="1" applyFill="1"/>
    <xf numFmtId="164" fontId="14" fillId="0" borderId="0" xfId="1" applyFont="1"/>
    <xf numFmtId="165" fontId="11" fillId="0" borderId="0" xfId="34" applyFont="1" applyFill="1"/>
    <xf numFmtId="164" fontId="11" fillId="0" borderId="0" xfId="1" applyFont="1"/>
    <xf numFmtId="165" fontId="11" fillId="0" borderId="0" xfId="34" applyFont="1"/>
    <xf numFmtId="167" fontId="11" fillId="0" borderId="0" xfId="35" applyNumberFormat="1" applyFont="1" applyAlignment="1">
      <alignment horizontal="center"/>
    </xf>
    <xf numFmtId="165" fontId="14" fillId="0" borderId="0" xfId="34" applyFont="1"/>
  </cellXfs>
  <cellStyles count="9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Milliers" xfId="34" builtinId="3"/>
    <cellStyle name="Monétaire" xfId="1" builtinId="4"/>
    <cellStyle name="Normal" xfId="0" builtinId="0"/>
    <cellStyle name="Pourcentage" xfId="3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0"/>
  <sheetViews>
    <sheetView tabSelected="1" workbookViewId="0">
      <selection activeCell="G44" sqref="G44"/>
    </sheetView>
  </sheetViews>
  <sheetFormatPr baseColWidth="10" defaultRowHeight="15" x14ac:dyDescent="0"/>
  <cols>
    <col min="1" max="1" width="40" bestFit="1" customWidth="1"/>
    <col min="2" max="2" width="12.33203125" style="22" bestFit="1" customWidth="1"/>
    <col min="3" max="3" width="9.33203125" style="22" bestFit="1" customWidth="1"/>
    <col min="4" max="4" width="6.33203125" style="4" bestFit="1" customWidth="1"/>
    <col min="5" max="5" width="1.5" style="4" customWidth="1"/>
    <col min="6" max="6" width="13.5" style="36" bestFit="1" customWidth="1"/>
    <col min="7" max="7" width="14" style="36" bestFit="1" customWidth="1"/>
    <col min="8" max="8" width="10.83203125" style="12"/>
    <col min="9" max="9" width="11" style="7" bestFit="1" customWidth="1"/>
    <col min="10" max="10" width="11" bestFit="1" customWidth="1"/>
  </cols>
  <sheetData>
    <row r="1" spans="1:11" s="1" customFormat="1">
      <c r="A1" s="1" t="s">
        <v>0</v>
      </c>
      <c r="B1" s="22" t="s">
        <v>1</v>
      </c>
      <c r="C1" s="22" t="s">
        <v>2</v>
      </c>
      <c r="D1" s="5" t="s">
        <v>3</v>
      </c>
      <c r="E1" s="5"/>
      <c r="F1" s="30" t="s">
        <v>49</v>
      </c>
      <c r="G1" s="30" t="s">
        <v>50</v>
      </c>
      <c r="H1" s="11" t="s">
        <v>3</v>
      </c>
      <c r="I1" s="6" t="s">
        <v>34</v>
      </c>
    </row>
    <row r="2" spans="1:11" s="1" customFormat="1">
      <c r="B2" s="23"/>
      <c r="C2" s="23"/>
      <c r="D2" s="5"/>
      <c r="E2" s="5"/>
      <c r="F2" s="30" t="s">
        <v>61</v>
      </c>
      <c r="G2" s="30" t="s">
        <v>58</v>
      </c>
      <c r="H2" s="11"/>
      <c r="I2" s="6"/>
    </row>
    <row r="4" spans="1:11" s="45" customFormat="1">
      <c r="A4" s="45" t="s">
        <v>14</v>
      </c>
      <c r="B4" s="46">
        <v>0.71</v>
      </c>
      <c r="C4" s="46">
        <v>0.89</v>
      </c>
      <c r="D4" s="45">
        <v>30</v>
      </c>
      <c r="F4" s="47">
        <v>0.78900000000000003</v>
      </c>
      <c r="G4" s="47">
        <v>0.79400000000000004</v>
      </c>
      <c r="H4" s="48">
        <f t="shared" ref="H4:H16" si="0">((G4&gt;C4)+(0.3+0.7*(G4-B4)/(C4-B4))*(G4&lt;C4)*(G4&gt;B4)+(G4&lt;B4)*0.3*(G4&gt;F4)*(G4-F4)/(B4-F4))*D4</f>
        <v>18.800000000000004</v>
      </c>
      <c r="I4" s="49">
        <f>7*H4</f>
        <v>131.60000000000002</v>
      </c>
    </row>
    <row r="5" spans="1:11" s="45" customFormat="1">
      <c r="A5" s="45" t="s">
        <v>4</v>
      </c>
      <c r="B5" s="46">
        <v>0.57999999999999996</v>
      </c>
      <c r="C5" s="46">
        <v>0.72</v>
      </c>
      <c r="D5" s="45">
        <v>30</v>
      </c>
      <c r="F5" s="47">
        <v>0.62</v>
      </c>
      <c r="G5" s="47">
        <v>0.629</v>
      </c>
      <c r="H5" s="48">
        <f t="shared" si="0"/>
        <v>16.350000000000005</v>
      </c>
      <c r="I5" s="49">
        <f t="shared" ref="I5:I32" si="1">7*H5</f>
        <v>114.45000000000003</v>
      </c>
    </row>
    <row r="6" spans="1:11" s="4" customFormat="1">
      <c r="A6" s="4" t="s">
        <v>15</v>
      </c>
      <c r="B6" s="24">
        <v>0.14000000000000001</v>
      </c>
      <c r="C6" s="24">
        <v>0.49</v>
      </c>
      <c r="D6" s="4">
        <v>30</v>
      </c>
      <c r="F6" s="31">
        <v>0.34899999999999998</v>
      </c>
      <c r="G6" s="31">
        <v>0.39100000000000001</v>
      </c>
      <c r="H6" s="48">
        <f t="shared" si="0"/>
        <v>24.060000000000002</v>
      </c>
      <c r="I6" s="7">
        <f t="shared" si="1"/>
        <v>168.42000000000002</v>
      </c>
    </row>
    <row r="7" spans="1:11" s="15" customFormat="1">
      <c r="A7" s="15" t="s">
        <v>16</v>
      </c>
      <c r="B7" s="25">
        <v>0.8</v>
      </c>
      <c r="C7" s="25">
        <v>0.95</v>
      </c>
      <c r="D7" s="15">
        <v>20</v>
      </c>
      <c r="F7" s="32">
        <v>1</v>
      </c>
      <c r="G7" s="32">
        <v>1</v>
      </c>
      <c r="H7" s="50">
        <f t="shared" si="0"/>
        <v>20</v>
      </c>
      <c r="I7" s="19">
        <f t="shared" si="1"/>
        <v>140</v>
      </c>
    </row>
    <row r="8" spans="1:11" s="15" customFormat="1">
      <c r="A8" s="15" t="s">
        <v>32</v>
      </c>
      <c r="B8" s="25">
        <v>0.03</v>
      </c>
      <c r="C8" s="25">
        <v>0.08</v>
      </c>
      <c r="D8" s="15">
        <v>30</v>
      </c>
      <c r="F8" s="32">
        <v>0.09</v>
      </c>
      <c r="G8" s="32">
        <v>0.114</v>
      </c>
      <c r="H8" s="50">
        <f t="shared" si="0"/>
        <v>30</v>
      </c>
      <c r="I8" s="19">
        <f t="shared" si="1"/>
        <v>210</v>
      </c>
      <c r="K8" s="51"/>
    </row>
    <row r="9" spans="1:11" s="15" customFormat="1">
      <c r="A9" s="15" t="s">
        <v>17</v>
      </c>
      <c r="B9" s="25">
        <v>0.8</v>
      </c>
      <c r="C9" s="25">
        <v>0.95</v>
      </c>
      <c r="D9" s="15">
        <v>20</v>
      </c>
      <c r="F9" s="32">
        <v>1</v>
      </c>
      <c r="G9" s="32">
        <v>1</v>
      </c>
      <c r="H9" s="50">
        <f t="shared" si="0"/>
        <v>20</v>
      </c>
      <c r="I9" s="19">
        <f t="shared" si="1"/>
        <v>140</v>
      </c>
      <c r="K9" s="51"/>
    </row>
    <row r="10" spans="1:11" s="4" customFormat="1">
      <c r="A10" s="4" t="s">
        <v>31</v>
      </c>
      <c r="B10" s="24">
        <v>0.38</v>
      </c>
      <c r="C10" s="24">
        <v>0.56000000000000005</v>
      </c>
      <c r="D10" s="4">
        <v>30</v>
      </c>
      <c r="F10" s="31">
        <v>0.436</v>
      </c>
      <c r="G10" s="31">
        <v>0.437</v>
      </c>
      <c r="H10" s="48">
        <f t="shared" si="0"/>
        <v>15.649999999999995</v>
      </c>
      <c r="I10" s="7">
        <f t="shared" si="1"/>
        <v>109.54999999999997</v>
      </c>
    </row>
    <row r="11" spans="1:11" s="4" customFormat="1">
      <c r="A11" s="4" t="s">
        <v>18</v>
      </c>
      <c r="B11" s="24">
        <v>0.73</v>
      </c>
      <c r="C11" s="24">
        <v>0.91</v>
      </c>
      <c r="D11" s="4">
        <v>30</v>
      </c>
      <c r="F11" s="31">
        <v>0.80200000000000005</v>
      </c>
      <c r="G11" s="31">
        <v>0.79100000000000004</v>
      </c>
      <c r="H11" s="48">
        <f t="shared" si="0"/>
        <v>16.116666666666671</v>
      </c>
      <c r="I11" s="7">
        <f t="shared" si="1"/>
        <v>112.81666666666669</v>
      </c>
    </row>
    <row r="12" spans="1:11" s="52" customFormat="1">
      <c r="A12" s="52" t="s">
        <v>5</v>
      </c>
      <c r="B12" s="53">
        <v>0.49</v>
      </c>
      <c r="C12" s="53">
        <v>0.61</v>
      </c>
      <c r="D12" s="52">
        <v>20</v>
      </c>
      <c r="F12" s="54">
        <v>0.52900000000000003</v>
      </c>
      <c r="G12" s="54">
        <v>0.55300000000000005</v>
      </c>
      <c r="H12" s="55">
        <f t="shared" si="0"/>
        <v>13.350000000000007</v>
      </c>
      <c r="I12" s="56">
        <f t="shared" si="1"/>
        <v>93.450000000000045</v>
      </c>
    </row>
    <row r="13" spans="1:11" s="52" customFormat="1">
      <c r="A13" s="52" t="s">
        <v>6</v>
      </c>
      <c r="B13" s="53">
        <v>0.27</v>
      </c>
      <c r="C13" s="53">
        <v>0.42</v>
      </c>
      <c r="D13" s="52">
        <v>20</v>
      </c>
      <c r="F13" s="54">
        <v>0.312</v>
      </c>
      <c r="G13" s="54">
        <v>0.33300000000000002</v>
      </c>
      <c r="H13" s="55">
        <f t="shared" si="0"/>
        <v>11.880000000000003</v>
      </c>
      <c r="I13" s="56">
        <f t="shared" si="1"/>
        <v>83.160000000000025</v>
      </c>
    </row>
    <row r="14" spans="1:11" s="4" customFormat="1">
      <c r="A14" s="4" t="s">
        <v>7</v>
      </c>
      <c r="B14" s="24">
        <v>0.62</v>
      </c>
      <c r="C14" s="24">
        <v>0.74</v>
      </c>
      <c r="D14" s="4">
        <v>40</v>
      </c>
      <c r="F14" s="31">
        <v>0.66100000000000003</v>
      </c>
      <c r="G14" s="31">
        <v>0.66400000000000003</v>
      </c>
      <c r="H14" s="48">
        <f t="shared" si="0"/>
        <v>22.266666666666673</v>
      </c>
      <c r="I14" s="7">
        <f t="shared" si="1"/>
        <v>155.8666666666667</v>
      </c>
    </row>
    <row r="15" spans="1:11" s="4" customFormat="1">
      <c r="A15" s="4" t="s">
        <v>9</v>
      </c>
      <c r="B15" s="24">
        <v>0.52</v>
      </c>
      <c r="C15" s="24">
        <v>0.65</v>
      </c>
      <c r="D15" s="4">
        <v>40</v>
      </c>
      <c r="F15" s="31">
        <v>0.56799999999999995</v>
      </c>
      <c r="G15" s="31">
        <v>0.56100000000000005</v>
      </c>
      <c r="H15" s="48">
        <f t="shared" si="0"/>
        <v>20.830769230769235</v>
      </c>
      <c r="I15" s="7">
        <f t="shared" ref="I15:I16" si="2">7*H15</f>
        <v>145.81538461538463</v>
      </c>
    </row>
    <row r="16" spans="1:11" s="4" customFormat="1">
      <c r="A16" s="4" t="s">
        <v>19</v>
      </c>
      <c r="B16" s="24">
        <v>0.24</v>
      </c>
      <c r="C16" s="24">
        <v>0.55000000000000004</v>
      </c>
      <c r="D16" s="4">
        <v>55</v>
      </c>
      <c r="F16" s="31">
        <v>0.29099999999999998</v>
      </c>
      <c r="G16" s="31">
        <v>0.28100000000000003</v>
      </c>
      <c r="H16" s="48">
        <f t="shared" si="0"/>
        <v>21.591935483870969</v>
      </c>
      <c r="I16" s="7">
        <f t="shared" si="2"/>
        <v>151.14354838709679</v>
      </c>
    </row>
    <row r="17" spans="1:9" s="4" customFormat="1">
      <c r="A17" s="4" t="s">
        <v>20</v>
      </c>
      <c r="B17" s="24">
        <v>0.1</v>
      </c>
      <c r="C17" s="24">
        <v>0.03</v>
      </c>
      <c r="D17" s="4">
        <v>35</v>
      </c>
      <c r="F17" s="31">
        <v>0.05</v>
      </c>
      <c r="G17" s="31">
        <v>4.8000000000000001E-2</v>
      </c>
      <c r="H17" s="48">
        <f>((G17&lt;C17)+(0.3+0.7*(G17-B17)/(C17-B17))*(G17&gt;C17)*(G17&lt;B17)+(G17&gt;B17)*0.3*(G17&lt;F17)*(G17-F17)/(B17-F17))*D17</f>
        <v>28.700000000000003</v>
      </c>
      <c r="I17" s="7">
        <f t="shared" si="1"/>
        <v>200.90000000000003</v>
      </c>
    </row>
    <row r="18" spans="1:9" s="4" customFormat="1">
      <c r="A18" s="4" t="s">
        <v>21</v>
      </c>
      <c r="B18" s="24">
        <v>0.47</v>
      </c>
      <c r="C18" s="24">
        <v>0.3</v>
      </c>
      <c r="D18" s="4">
        <v>35</v>
      </c>
      <c r="F18" s="31">
        <v>0.40899999999999997</v>
      </c>
      <c r="G18" s="31">
        <v>0.42399999999999999</v>
      </c>
      <c r="H18" s="48">
        <f>((G18&lt;C18)+(0.3+0.7*(G18-B18)/(C18-B18))*(G18&gt;C18)*(G18&lt;B18)+(G18&gt;B18)*0.3*(G18&lt;F18)*(G18-F18)/(B18-F18))*D18</f>
        <v>17.129411764705878</v>
      </c>
      <c r="I18" s="7">
        <f t="shared" ref="I18" si="3">7*H18</f>
        <v>119.90588235294115</v>
      </c>
    </row>
    <row r="19" spans="1:9" s="4" customFormat="1">
      <c r="A19" s="4" t="s">
        <v>8</v>
      </c>
      <c r="B19" s="24">
        <v>0.19</v>
      </c>
      <c r="C19" s="24">
        <v>0.09</v>
      </c>
      <c r="D19" s="4">
        <v>35</v>
      </c>
      <c r="F19" s="31">
        <v>0.15</v>
      </c>
      <c r="G19" s="31">
        <v>0.14799999999999999</v>
      </c>
      <c r="H19" s="48">
        <f>((G19&lt;C19)+(0.3+0.7*(G19-B19)/(C19-B19))*(G19&gt;C19)*(G19&lt;B19)+(G19&gt;B19)*0.3*(G19&lt;F19)*(G19-F19)/(B19-F19))*D19</f>
        <v>20.790000000000003</v>
      </c>
      <c r="I19" s="7">
        <f t="shared" si="1"/>
        <v>145.53000000000003</v>
      </c>
    </row>
    <row r="20" spans="1:9" s="4" customFormat="1">
      <c r="A20" s="4" t="s">
        <v>10</v>
      </c>
      <c r="B20" s="24">
        <v>0.45</v>
      </c>
      <c r="C20" s="24">
        <v>0.2</v>
      </c>
      <c r="D20" s="4">
        <v>35</v>
      </c>
      <c r="F20" s="31">
        <v>0.36099999999999999</v>
      </c>
      <c r="G20" s="31">
        <v>0.35799999999999998</v>
      </c>
      <c r="H20" s="48">
        <f>((G20&lt;C20)+(0.3+0.7*(G20-B20)/(C20-B20))*(G20&gt;C20)*(G20&lt;B20)+(G20&gt;B20)*0.3*(G20&lt;F20)*(G20-F20)/(B20-F20))*D20</f>
        <v>19.516000000000002</v>
      </c>
      <c r="I20" s="7">
        <f t="shared" si="1"/>
        <v>136.61200000000002</v>
      </c>
    </row>
    <row r="21" spans="1:9" s="4" customFormat="1">
      <c r="A21" s="4" t="s">
        <v>33</v>
      </c>
      <c r="B21" s="24">
        <v>0.52</v>
      </c>
      <c r="C21" s="24">
        <v>0.32</v>
      </c>
      <c r="D21" s="4">
        <v>35</v>
      </c>
      <c r="F21" s="31">
        <v>0.39500000000000002</v>
      </c>
      <c r="G21" s="31">
        <v>0.36899999999999999</v>
      </c>
      <c r="H21" s="48">
        <f>((G21&lt;C21)+(0.3+0.7*(G21-B21)/(C21-B21))*(G21&gt;C21)*(G21&lt;B21)+(G21&gt;B21)*0.3*(G21&lt;F21)*(G21-F21)/(B21-F21))*D21</f>
        <v>28.997500000000002</v>
      </c>
      <c r="I21" s="7">
        <f t="shared" si="1"/>
        <v>202.98250000000002</v>
      </c>
    </row>
    <row r="22" spans="1:9" s="16" customFormat="1">
      <c r="A22" s="16" t="s">
        <v>22</v>
      </c>
      <c r="B22" s="26">
        <v>0.6</v>
      </c>
      <c r="C22" s="26">
        <v>0.75</v>
      </c>
      <c r="D22" s="16">
        <v>20</v>
      </c>
      <c r="F22" s="33">
        <v>1</v>
      </c>
      <c r="G22" s="33">
        <v>1</v>
      </c>
      <c r="H22" s="57">
        <f>((G22&gt;C22)+(0.3+0.7*(G22-B22)/(C22-B22))*(G22&lt;C22)*(G22&gt;B22)+(G22&lt;B22)*0.3*(G22&gt;F22)*(G22-F22)/(B22-F22))*D22</f>
        <v>20</v>
      </c>
      <c r="I22" s="58">
        <f t="shared" si="1"/>
        <v>140</v>
      </c>
    </row>
    <row r="23" spans="1:9" s="16" customFormat="1">
      <c r="A23" s="16" t="s">
        <v>23</v>
      </c>
      <c r="B23" s="26">
        <v>0.6</v>
      </c>
      <c r="C23" s="26">
        <v>0.75</v>
      </c>
      <c r="D23" s="16">
        <v>20</v>
      </c>
      <c r="F23" s="33">
        <v>1</v>
      </c>
      <c r="G23" s="33">
        <v>1</v>
      </c>
      <c r="H23" s="57">
        <f>((G23&gt;C23)+(0.3+0.7*(G23-B23)/(C23-B23))*(G23&lt;C23)*(G23&gt;B23)+(G23&lt;B23)*0.3*(G23&gt;F23)*(G23-F23)/(B23-F23))*D23</f>
        <v>20</v>
      </c>
      <c r="I23" s="58">
        <f t="shared" si="1"/>
        <v>140</v>
      </c>
    </row>
    <row r="24" spans="1:9" s="4" customFormat="1">
      <c r="A24" s="4" t="s">
        <v>11</v>
      </c>
      <c r="B24" s="24">
        <v>0.84</v>
      </c>
      <c r="C24" s="24">
        <v>0.94</v>
      </c>
      <c r="D24" s="4">
        <v>59</v>
      </c>
      <c r="F24" s="31">
        <v>0.90700000000000003</v>
      </c>
      <c r="G24" s="31">
        <v>0.93300000000000005</v>
      </c>
      <c r="H24" s="48">
        <f>((G24&gt;C24)+(0.3+0.7*(G24-B24)/(C24-B24))*(G24&lt;C24)*(G24&gt;B24)+(G24&lt;B24)*0.3*(G24&gt;F24)*(G24-F24)/(B24-F24))*D24</f>
        <v>56.109000000000044</v>
      </c>
      <c r="I24" s="7">
        <f t="shared" si="1"/>
        <v>392.76300000000032</v>
      </c>
    </row>
    <row r="25" spans="1:9" s="16" customFormat="1">
      <c r="A25" s="16" t="s">
        <v>12</v>
      </c>
      <c r="B25" s="26">
        <v>0.83</v>
      </c>
      <c r="C25" s="26">
        <v>0.9</v>
      </c>
      <c r="D25" s="16">
        <v>54</v>
      </c>
      <c r="F25" s="33">
        <v>0.88500000000000001</v>
      </c>
      <c r="G25" s="33">
        <v>0.92700000000000005</v>
      </c>
      <c r="H25" s="57">
        <f>((G25&gt;C25)+(0.3+0.7*(G25-B25)/(C25-B25))*(G25&lt;C25)*(G25&gt;B25)+(G25&lt;B25)*0.3*(G25&gt;F25)*(G25-F25)/(B25-F25))*D25</f>
        <v>54</v>
      </c>
      <c r="I25" s="58">
        <f t="shared" si="1"/>
        <v>378</v>
      </c>
    </row>
    <row r="26" spans="1:9" s="2" customFormat="1">
      <c r="A26" s="2" t="s">
        <v>24</v>
      </c>
      <c r="B26" s="27" t="s">
        <v>59</v>
      </c>
      <c r="C26" s="27"/>
      <c r="F26" s="34"/>
      <c r="G26" s="34"/>
      <c r="H26" s="13">
        <v>0</v>
      </c>
      <c r="I26" s="3">
        <f t="shared" si="1"/>
        <v>0</v>
      </c>
    </row>
    <row r="27" spans="1:9" s="2" customFormat="1">
      <c r="A27" s="2" t="s">
        <v>25</v>
      </c>
      <c r="B27" s="27" t="s">
        <v>59</v>
      </c>
      <c r="C27" s="27"/>
      <c r="F27" s="34"/>
      <c r="G27" s="34"/>
      <c r="H27" s="13">
        <v>0</v>
      </c>
      <c r="I27" s="3">
        <f t="shared" si="1"/>
        <v>0</v>
      </c>
    </row>
    <row r="28" spans="1:9" s="4" customFormat="1">
      <c r="A28" s="4" t="s">
        <v>26</v>
      </c>
      <c r="B28" s="24">
        <v>0.59</v>
      </c>
      <c r="C28" s="24">
        <v>0.69</v>
      </c>
      <c r="D28" s="4">
        <v>19</v>
      </c>
      <c r="F28" s="31">
        <v>0.622</v>
      </c>
      <c r="G28" s="31">
        <v>0.623</v>
      </c>
      <c r="H28" s="48">
        <f>((G28&gt;C28)+(0.3+0.7*(G28-B28)/(C28-B28))*(G28&lt;C28)*(G28&gt;B28)+(G28&lt;B28)*0.3*(G28&gt;F28)*(G28-F28)/(B28-F28))*D28</f>
        <v>10.089000000000004</v>
      </c>
      <c r="I28" s="7">
        <f t="shared" si="1"/>
        <v>70.623000000000033</v>
      </c>
    </row>
    <row r="29" spans="1:9" s="4" customFormat="1">
      <c r="A29" s="4" t="s">
        <v>27</v>
      </c>
      <c r="B29" s="24">
        <v>0.05</v>
      </c>
      <c r="C29" s="24">
        <v>0.1</v>
      </c>
      <c r="D29" s="4">
        <v>39</v>
      </c>
      <c r="F29" s="31">
        <v>2.8000000000000001E-2</v>
      </c>
      <c r="G29" s="31">
        <v>9.0999999999999998E-2</v>
      </c>
      <c r="H29" s="48">
        <f>((G29&gt;C29)+(0.3+0.7*(G29-B29)/(C29-B29))*(G29&lt;C29)*(G29&gt;B29)+(G29&lt;B29)*0.3*(G29&gt;F29)*(G29-F29)/(B29-F29))*D29</f>
        <v>34.085999999999999</v>
      </c>
      <c r="I29" s="7">
        <f t="shared" si="1"/>
        <v>238.60199999999998</v>
      </c>
    </row>
    <row r="30" spans="1:9" s="4" customFormat="1">
      <c r="A30" s="4" t="s">
        <v>13</v>
      </c>
      <c r="B30" s="24">
        <v>0.83</v>
      </c>
      <c r="C30" s="24">
        <v>0.92</v>
      </c>
      <c r="D30" s="4">
        <v>54</v>
      </c>
      <c r="F30" s="31">
        <v>0.879</v>
      </c>
      <c r="G30" s="31">
        <v>0.88400000000000001</v>
      </c>
      <c r="H30" s="48">
        <f>((G30&gt;C30)+(0.3+0.7*(G30-B30)/(C30-B30))*(G30&lt;C30)*(G30&gt;B30)+(G30&lt;B30)*0.3*(G30&gt;F30)*(G30-F30)/(B30-F30))*D30</f>
        <v>38.879999999999995</v>
      </c>
      <c r="I30" s="7">
        <f t="shared" si="1"/>
        <v>272.15999999999997</v>
      </c>
    </row>
    <row r="31" spans="1:9" s="4" customFormat="1">
      <c r="A31" s="4" t="s">
        <v>28</v>
      </c>
      <c r="B31" s="24">
        <v>0.76</v>
      </c>
      <c r="C31" s="24">
        <v>0.9</v>
      </c>
      <c r="D31" s="4">
        <v>54</v>
      </c>
      <c r="F31" s="31">
        <v>0.81399999999999995</v>
      </c>
      <c r="G31" s="31">
        <v>0.82299999999999995</v>
      </c>
      <c r="H31" s="48">
        <f>((G31&gt;C31)+(0.3+0.7*(G31-B31)/(C31-B31))*(G31&lt;C31)*(G31&gt;B31)+(G31&lt;B31)*0.3*(G31&gt;F31)*(G31-F31)/(B31-F31))*D31</f>
        <v>33.20999999999998</v>
      </c>
      <c r="I31" s="7">
        <f t="shared" si="1"/>
        <v>232.46999999999986</v>
      </c>
    </row>
    <row r="32" spans="1:9" s="4" customFormat="1">
      <c r="A32" s="4" t="s">
        <v>30</v>
      </c>
      <c r="B32" s="24">
        <v>0.9</v>
      </c>
      <c r="C32" s="24">
        <v>0.99</v>
      </c>
      <c r="D32" s="4">
        <v>54</v>
      </c>
      <c r="F32" s="31">
        <v>0.89100000000000001</v>
      </c>
      <c r="G32" s="31">
        <v>0.90700000000000003</v>
      </c>
      <c r="H32" s="48">
        <f>((G32&gt;C32)+(0.3+0.7*(G32-B32)/(C32-B32))*(G32&lt;C32)*(G32&gt;B32)+(G32&lt;B32)*0.3*(G32&gt;F32)*(G32-F32)/(B32-F32))*D32</f>
        <v>19.140000000000004</v>
      </c>
      <c r="I32" s="7">
        <f t="shared" si="1"/>
        <v>133.98000000000002</v>
      </c>
    </row>
    <row r="34" spans="1:9" s="8" customFormat="1">
      <c r="A34" s="8" t="s">
        <v>29</v>
      </c>
      <c r="B34" s="28"/>
      <c r="C34" s="28"/>
      <c r="D34" s="10">
        <f>SUM(D4:D33)</f>
        <v>943</v>
      </c>
      <c r="E34" s="10"/>
      <c r="F34" s="35"/>
      <c r="G34" s="35"/>
      <c r="H34" s="14"/>
      <c r="I34" s="9">
        <f>SUM(I4:I32)*D35/800</f>
        <v>4560.8006486887571</v>
      </c>
    </row>
    <row r="35" spans="1:9" s="8" customFormat="1">
      <c r="A35" s="8" t="s">
        <v>62</v>
      </c>
      <c r="B35" s="28"/>
      <c r="C35" s="28"/>
      <c r="D35" s="10">
        <v>800</v>
      </c>
      <c r="E35" s="10"/>
      <c r="F35" s="35"/>
      <c r="G35" s="35"/>
      <c r="H35" s="14"/>
      <c r="I35" s="9"/>
    </row>
    <row r="36" spans="1:9" s="38" customFormat="1">
      <c r="B36" s="39"/>
      <c r="C36" s="39"/>
      <c r="D36" s="40"/>
      <c r="E36" s="40"/>
      <c r="F36" s="41"/>
      <c r="G36" s="41"/>
      <c r="H36" s="42"/>
      <c r="I36" s="43"/>
    </row>
    <row r="37" spans="1:9" s="4" customFormat="1">
      <c r="A37" s="4" t="s">
        <v>35</v>
      </c>
      <c r="B37" s="24">
        <v>0.43</v>
      </c>
      <c r="C37" s="24">
        <v>0.7</v>
      </c>
      <c r="D37" s="4">
        <v>35</v>
      </c>
      <c r="F37" s="31">
        <v>0.54100000000000004</v>
      </c>
      <c r="G37" s="31">
        <v>0.52700000000000002</v>
      </c>
      <c r="H37" s="48">
        <f>((G37&gt;C37)+(0.3+0.7*(G37-B37)/(C37-B37))*(G37&lt;C37)*(G37&gt;B37)+(G37&lt;B37)*0.3*(G37&gt;F37)*(G37-F37)/(B37-F37))*D37</f>
        <v>19.301851851851854</v>
      </c>
      <c r="I37" s="7">
        <f>H37*7</f>
        <v>135.11296296296297</v>
      </c>
    </row>
    <row r="38" spans="1:9" s="4" customFormat="1">
      <c r="A38" s="4" t="s">
        <v>67</v>
      </c>
      <c r="B38" s="24">
        <v>0.25</v>
      </c>
      <c r="C38" s="24">
        <v>0.6</v>
      </c>
      <c r="D38" s="4">
        <v>35</v>
      </c>
      <c r="F38" s="31">
        <v>0.39800000000000002</v>
      </c>
      <c r="G38" s="31">
        <v>0.42299999999999999</v>
      </c>
      <c r="H38" s="48">
        <f>((G38&gt;C38)+(0.3+0.7*(G38-B38)/(C38-B38))*(G38&lt;C38)*(G38&gt;B38)+(G38&lt;B38)*0.3*(G38&gt;F38)*(G38-F38)/(B38-F38))*D38</f>
        <v>22.609999999999996</v>
      </c>
      <c r="I38" s="7">
        <f t="shared" ref="I38:I46" si="4">H38*7</f>
        <v>158.26999999999998</v>
      </c>
    </row>
    <row r="39" spans="1:9" s="4" customFormat="1">
      <c r="A39" s="4" t="s">
        <v>68</v>
      </c>
      <c r="B39" s="24">
        <v>0.5</v>
      </c>
      <c r="C39" s="24">
        <v>0.8</v>
      </c>
      <c r="D39" s="4">
        <v>35</v>
      </c>
      <c r="F39" s="31">
        <v>0.78100000000000003</v>
      </c>
      <c r="G39" s="31">
        <v>0.72199999999999998</v>
      </c>
      <c r="H39" s="48">
        <f>((G39&gt;C39)+(0.3+0.7*(G39-B39)/(C39-B39))*(G39&lt;C39)*(G39&gt;B39)+(G39&lt;B39)*0.3*(G39&gt;F39)*(G39-F39)/(B39-F39))*D39</f>
        <v>28.629999999999995</v>
      </c>
      <c r="I39" s="7">
        <f t="shared" si="4"/>
        <v>200.40999999999997</v>
      </c>
    </row>
    <row r="40" spans="1:9" s="4" customFormat="1">
      <c r="A40" s="4" t="s">
        <v>69</v>
      </c>
      <c r="B40" s="24">
        <v>0.43</v>
      </c>
      <c r="C40" s="24">
        <v>0.83</v>
      </c>
      <c r="D40" s="4">
        <v>35</v>
      </c>
      <c r="F40" s="31">
        <v>0.80500000000000005</v>
      </c>
      <c r="G40" s="31">
        <v>0.83899999999999997</v>
      </c>
      <c r="H40" s="48">
        <f>((G40&gt;C40)+(0.3+0.7*(G40-B40)/(C40-B40))*(G40&lt;C40)*(G40&gt;B40)+(G40&lt;B40)*0.3*(G40&gt;F40)*(G40-F40)/(B40-F40))*D40</f>
        <v>35</v>
      </c>
      <c r="I40" s="7">
        <f t="shared" si="4"/>
        <v>245</v>
      </c>
    </row>
    <row r="41" spans="1:9" s="4" customFormat="1">
      <c r="A41" s="4" t="s">
        <v>71</v>
      </c>
      <c r="B41" s="24">
        <v>0.52</v>
      </c>
      <c r="C41" s="24">
        <v>0.11</v>
      </c>
      <c r="D41" s="4">
        <v>35</v>
      </c>
      <c r="F41" s="31">
        <v>0.27</v>
      </c>
      <c r="G41" s="31">
        <v>0.23899999999999999</v>
      </c>
      <c r="H41" s="48">
        <f>((G41&lt;C41)+(0.3+0.7*(G41-B41)/(C41-B41))*(G41&gt;C41)*(G41&lt;B41)+(G41&gt;B41)*0.3*(G41&lt;F41)*(G41-F41)/(B41-F41))*D41</f>
        <v>27.291463414634148</v>
      </c>
      <c r="I41" s="7">
        <f t="shared" si="4"/>
        <v>191.04024390243904</v>
      </c>
    </row>
    <row r="42" spans="1:9" s="4" customFormat="1">
      <c r="A42" s="4" t="s">
        <v>70</v>
      </c>
      <c r="B42" s="24">
        <v>0.31</v>
      </c>
      <c r="C42" s="24">
        <v>7.0000000000000007E-2</v>
      </c>
      <c r="D42" s="4">
        <v>35</v>
      </c>
      <c r="F42" s="31">
        <v>0.193</v>
      </c>
      <c r="G42" s="31">
        <v>0.17</v>
      </c>
      <c r="H42" s="48">
        <f>((G42&lt;C42)+(0.3+0.7*(G42-B42)/(C42-B42))*(G42&gt;C42)*(G42&lt;B42)+(G42&gt;B42)*0.3*(G42&lt;F42)*(G42-F42)/(B42-F42))*D42</f>
        <v>24.791666666666664</v>
      </c>
      <c r="I42" s="7">
        <f t="shared" si="4"/>
        <v>173.54166666666666</v>
      </c>
    </row>
    <row r="43" spans="1:9" s="4" customFormat="1">
      <c r="A43" s="4" t="s">
        <v>66</v>
      </c>
      <c r="B43" s="24">
        <v>0.69</v>
      </c>
      <c r="C43" s="24">
        <v>0.83</v>
      </c>
      <c r="D43" s="4">
        <v>35</v>
      </c>
      <c r="F43" s="31">
        <v>0.76900000000000002</v>
      </c>
      <c r="G43" s="31">
        <v>0.74099999999999999</v>
      </c>
      <c r="H43" s="48">
        <f>((G43&gt;C43)+(0.3+0.7*(G43-B43)/(C43-B43))*(G43&lt;C43)*(G43&gt;B43)+(G43&lt;B43)*0.3*(G43&gt;F43)*(G43-F43)/(B43-F43))*D43</f>
        <v>19.425000000000004</v>
      </c>
      <c r="I43" s="7">
        <f t="shared" si="4"/>
        <v>135.97500000000002</v>
      </c>
    </row>
    <row r="44" spans="1:9" s="16" customFormat="1">
      <c r="A44" s="16" t="s">
        <v>36</v>
      </c>
      <c r="B44" s="26">
        <v>0.8</v>
      </c>
      <c r="C44" s="26">
        <v>0.95</v>
      </c>
      <c r="D44" s="16">
        <v>20</v>
      </c>
      <c r="F44" s="33">
        <v>1</v>
      </c>
      <c r="G44" s="33">
        <v>1</v>
      </c>
      <c r="H44" s="57">
        <f>((G44&gt;C44)+(0.3+0.7*(G44-B44)/(C44-B44))*(G44&lt;C44)*(G44&gt;B44)+(G44&lt;B44)*0.3*(G44&gt;F44)*(G44-F44)/(B44-F44))*D44</f>
        <v>20</v>
      </c>
      <c r="I44" s="58">
        <f t="shared" si="4"/>
        <v>140</v>
      </c>
    </row>
    <row r="45" spans="1:9" s="16" customFormat="1">
      <c r="A45" s="16" t="s">
        <v>37</v>
      </c>
      <c r="B45" s="26">
        <v>0.8</v>
      </c>
      <c r="C45" s="26">
        <v>0.95</v>
      </c>
      <c r="D45" s="16">
        <v>20</v>
      </c>
      <c r="F45" s="33">
        <v>1</v>
      </c>
      <c r="G45" s="33">
        <v>1</v>
      </c>
      <c r="H45" s="57">
        <f>((G45&gt;C45)+(0.3+0.7*(G45-B45)/(C45-B45))*(G45&lt;C45)*(G45&gt;B45)+(G45&lt;B45)*0.3*(G45&gt;F45)*(G45-F45)/(B45-F45))*D45</f>
        <v>20</v>
      </c>
      <c r="I45" s="58">
        <f t="shared" si="4"/>
        <v>140</v>
      </c>
    </row>
    <row r="46" spans="1:9" s="16" customFormat="1">
      <c r="A46" s="16" t="s">
        <v>38</v>
      </c>
      <c r="B46" s="26">
        <v>0.8</v>
      </c>
      <c r="C46" s="26">
        <v>0.95</v>
      </c>
      <c r="D46" s="16">
        <v>20</v>
      </c>
      <c r="F46" s="33">
        <v>1</v>
      </c>
      <c r="G46" s="33">
        <v>1</v>
      </c>
      <c r="H46" s="57">
        <f>((G46&gt;C46)+(0.3+0.7*(G46-B46)/(C46-B46))*(G46&lt;C46)*(G46&gt;B46)+(G46&lt;B46)*0.3*(G46&gt;F46)*(G46-F46)/(B46-F46))*D46</f>
        <v>20</v>
      </c>
      <c r="I46" s="58">
        <f t="shared" si="4"/>
        <v>140</v>
      </c>
    </row>
    <row r="48" spans="1:9" s="10" customFormat="1">
      <c r="A48" s="10" t="s">
        <v>57</v>
      </c>
      <c r="B48" s="29"/>
      <c r="C48" s="29"/>
      <c r="D48" s="10">
        <f>SUM(D37:D47)</f>
        <v>305</v>
      </c>
      <c r="F48" s="37"/>
      <c r="G48" s="37"/>
      <c r="H48" s="18"/>
      <c r="I48" s="9">
        <f>SUM(I37:I46)*D49/600</f>
        <v>276.55831225534479</v>
      </c>
    </row>
    <row r="49" spans="1:10" s="10" customFormat="1">
      <c r="A49" s="10" t="s">
        <v>63</v>
      </c>
      <c r="B49" s="29"/>
      <c r="C49" s="29"/>
      <c r="D49" s="10">
        <v>100</v>
      </c>
      <c r="F49" s="37"/>
      <c r="G49" s="37"/>
      <c r="H49" s="18"/>
      <c r="I49" s="9"/>
    </row>
    <row r="50" spans="1:10">
      <c r="I50" s="9"/>
    </row>
    <row r="51" spans="1:10" s="10" customFormat="1">
      <c r="A51" s="10" t="s">
        <v>51</v>
      </c>
      <c r="B51" s="29"/>
      <c r="C51" s="29"/>
      <c r="F51" s="37"/>
      <c r="G51" s="37"/>
      <c r="H51" s="18"/>
      <c r="I51" s="9"/>
      <c r="J51" s="20">
        <f>I48+I34</f>
        <v>4837.3589609441015</v>
      </c>
    </row>
    <row r="53" spans="1:10" s="8" customFormat="1">
      <c r="A53" s="8" t="s">
        <v>39</v>
      </c>
      <c r="B53" s="28"/>
      <c r="C53" s="28"/>
      <c r="D53" s="10"/>
      <c r="E53" s="10"/>
      <c r="F53" s="35"/>
      <c r="G53" s="35"/>
      <c r="H53" s="14"/>
      <c r="I53" s="9"/>
    </row>
    <row r="54" spans="1:10">
      <c r="A54" t="s">
        <v>55</v>
      </c>
      <c r="B54" s="22" t="s">
        <v>40</v>
      </c>
      <c r="G54" s="44" t="s">
        <v>64</v>
      </c>
    </row>
    <row r="55" spans="1:10">
      <c r="B55" s="22" t="s">
        <v>41</v>
      </c>
      <c r="G55" s="36" t="s">
        <v>64</v>
      </c>
    </row>
    <row r="56" spans="1:10">
      <c r="B56" s="22" t="s">
        <v>42</v>
      </c>
      <c r="G56" s="36" t="s">
        <v>64</v>
      </c>
    </row>
    <row r="57" spans="1:10">
      <c r="B57" s="22" t="s">
        <v>43</v>
      </c>
      <c r="G57" s="36" t="s">
        <v>64</v>
      </c>
    </row>
    <row r="58" spans="1:10">
      <c r="B58" s="22" t="s">
        <v>44</v>
      </c>
      <c r="G58" s="36" t="s">
        <v>64</v>
      </c>
      <c r="I58" s="9">
        <f>1610*(G54="Oui")*(G55="Oui")*(G56="Oui")*(G57="Oui")*(G58="Oui")</f>
        <v>1610</v>
      </c>
      <c r="J58" s="21">
        <f>I58</f>
        <v>1610</v>
      </c>
    </row>
    <row r="59" spans="1:10">
      <c r="A59" t="s">
        <v>54</v>
      </c>
    </row>
    <row r="60" spans="1:10" s="16" customFormat="1">
      <c r="A60" s="16" t="s">
        <v>45</v>
      </c>
      <c r="B60" s="26" t="s">
        <v>60</v>
      </c>
      <c r="C60" s="26">
        <v>0.8</v>
      </c>
      <c r="F60" s="33"/>
      <c r="G60" s="33">
        <v>0.81599999999999995</v>
      </c>
      <c r="H60" s="59"/>
      <c r="I60" s="58">
        <f>105*(G60&gt;C60)*($I$58&gt;0)</f>
        <v>105</v>
      </c>
    </row>
    <row r="61" spans="1:10" s="16" customFormat="1">
      <c r="B61" s="26" t="s">
        <v>46</v>
      </c>
      <c r="C61" s="26">
        <v>0.5</v>
      </c>
      <c r="F61" s="33"/>
      <c r="G61" s="60" t="s">
        <v>65</v>
      </c>
      <c r="H61" s="59"/>
      <c r="I61" s="58">
        <f>105*(G61&gt;C61)*($I$58&gt;0)</f>
        <v>105</v>
      </c>
    </row>
    <row r="62" spans="1:10" s="52" customFormat="1">
      <c r="B62" s="53" t="s">
        <v>47</v>
      </c>
      <c r="C62" s="53">
        <v>0.4</v>
      </c>
      <c r="F62" s="54"/>
      <c r="G62" s="54">
        <v>0.36599999999999999</v>
      </c>
      <c r="H62" s="61"/>
      <c r="I62" s="56">
        <f>105*(G62&gt;C62)*($I$58&gt;0)</f>
        <v>0</v>
      </c>
    </row>
    <row r="63" spans="1:10" s="15" customFormat="1">
      <c r="B63" s="25" t="s">
        <v>48</v>
      </c>
      <c r="C63" s="25">
        <v>0.14000000000000001</v>
      </c>
      <c r="F63" s="32"/>
      <c r="G63" s="32">
        <v>0.29599999999999999</v>
      </c>
      <c r="H63" s="17"/>
      <c r="I63" s="19">
        <f>105*(G63&gt;C63)*($I$58&gt;0)</f>
        <v>105</v>
      </c>
    </row>
    <row r="64" spans="1:10">
      <c r="A64" t="s">
        <v>52</v>
      </c>
      <c r="G64" s="36" t="s">
        <v>64</v>
      </c>
      <c r="I64" s="19">
        <f>140*(G64="Oui")*($I$58&gt;0)</f>
        <v>140</v>
      </c>
    </row>
    <row r="65" spans="1:10">
      <c r="A65" t="s">
        <v>72</v>
      </c>
      <c r="G65" s="36" t="s">
        <v>64</v>
      </c>
      <c r="I65" s="19">
        <f>280*(G65="Oui")*($I$58&gt;0)</f>
        <v>280</v>
      </c>
    </row>
    <row r="66" spans="1:10">
      <c r="A66" t="s">
        <v>53</v>
      </c>
      <c r="G66" s="36" t="s">
        <v>64</v>
      </c>
      <c r="I66" s="19">
        <f>560*(G66="Oui")*($I$58&gt;0)</f>
        <v>560</v>
      </c>
    </row>
    <row r="67" spans="1:10">
      <c r="A67" t="s">
        <v>56</v>
      </c>
      <c r="G67" s="36" t="s">
        <v>64</v>
      </c>
      <c r="I67" s="19">
        <f>210*(G67="Oui")*($I$58&gt;0)</f>
        <v>210</v>
      </c>
      <c r="J67" s="21">
        <f>I60+I61+I62+I63+I64+I65+I66+I67</f>
        <v>1505</v>
      </c>
    </row>
    <row r="70" spans="1:10">
      <c r="J70" s="21">
        <f>J51+J58+J67</f>
        <v>7952.3589609441015</v>
      </c>
    </row>
  </sheetData>
  <phoneticPr fontId="9" type="noConversion"/>
  <pageMargins left="0.75" right="0.75" top="1" bottom="1" header="0.5" footer="0.5"/>
  <pageSetup paperSize="9"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TALBOT</dc:creator>
  <cp:lastModifiedBy>Richard TALBOT</cp:lastModifiedBy>
  <cp:lastPrinted>2018-03-24T05:37:16Z</cp:lastPrinted>
  <dcterms:created xsi:type="dcterms:W3CDTF">2016-10-10T20:25:28Z</dcterms:created>
  <dcterms:modified xsi:type="dcterms:W3CDTF">2019-02-28T07:49:09Z</dcterms:modified>
</cp:coreProperties>
</file>